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Ten-year overview" sheetId="1" r:id="rId1"/>
  </sheets>
  <calcPr calcId="145621"/>
</workbook>
</file>

<file path=xl/calcChain.xml><?xml version="1.0" encoding="utf-8"?>
<calcChain xmlns="http://schemas.openxmlformats.org/spreadsheetml/2006/main">
  <c r="C6" i="1" l="1"/>
  <c r="E6" i="1"/>
  <c r="E7" i="1"/>
  <c r="E58" i="1" s="1"/>
  <c r="Q7" i="1"/>
  <c r="E8" i="1"/>
  <c r="Q8" i="1"/>
  <c r="E9" i="1"/>
  <c r="G9" i="1"/>
  <c r="I9" i="1"/>
  <c r="K9" i="1"/>
  <c r="Q9" i="1"/>
  <c r="E11" i="1"/>
  <c r="Q11" i="1"/>
  <c r="Q12" i="1"/>
  <c r="B13" i="1"/>
  <c r="C13" i="1"/>
  <c r="E13" i="1"/>
  <c r="G13" i="1"/>
  <c r="I13" i="1"/>
  <c r="K13" i="1"/>
  <c r="L13" i="1"/>
  <c r="M13" i="1"/>
  <c r="O13" i="1"/>
  <c r="Q13" i="1"/>
  <c r="Q14" i="1"/>
  <c r="C23" i="1"/>
  <c r="E23" i="1"/>
  <c r="G23" i="1"/>
  <c r="I23" i="1"/>
  <c r="K23" i="1"/>
  <c r="M23" i="1"/>
  <c r="B24" i="1"/>
  <c r="C24" i="1"/>
  <c r="E24" i="1"/>
  <c r="G24" i="1"/>
  <c r="I24" i="1"/>
  <c r="K24" i="1"/>
  <c r="L24" i="1"/>
  <c r="M24" i="1"/>
  <c r="M33" i="1" s="1"/>
  <c r="O24" i="1"/>
  <c r="Q24" i="1"/>
  <c r="Q33" i="1" s="1"/>
  <c r="Q25" i="1"/>
  <c r="Q26" i="1"/>
  <c r="C27" i="1"/>
  <c r="E27" i="1"/>
  <c r="E33" i="1" s="1"/>
  <c r="G27" i="1"/>
  <c r="I27" i="1"/>
  <c r="I33" i="1" s="1"/>
  <c r="K27" i="1"/>
  <c r="M27" i="1"/>
  <c r="O27" i="1"/>
  <c r="G28" i="1"/>
  <c r="C30" i="1"/>
  <c r="E30" i="1"/>
  <c r="G30" i="1"/>
  <c r="I30" i="1"/>
  <c r="K30" i="1"/>
  <c r="M30" i="1"/>
  <c r="O30" i="1"/>
  <c r="Q30" i="1"/>
  <c r="C31" i="1"/>
  <c r="E31" i="1"/>
  <c r="G31" i="1"/>
  <c r="I31" i="1"/>
  <c r="K31" i="1"/>
  <c r="M31" i="1"/>
  <c r="O31" i="1"/>
  <c r="Q31" i="1"/>
  <c r="B33" i="1"/>
  <c r="C33" i="1"/>
  <c r="G33" i="1"/>
  <c r="K33" i="1"/>
  <c r="O33" i="1"/>
  <c r="C58" i="1"/>
  <c r="G58" i="1"/>
  <c r="I58" i="1"/>
  <c r="E63" i="1"/>
  <c r="G63" i="1"/>
</calcChain>
</file>

<file path=xl/sharedStrings.xml><?xml version="1.0" encoding="utf-8"?>
<sst xmlns="http://schemas.openxmlformats.org/spreadsheetml/2006/main" count="103" uniqueCount="63">
  <si>
    <t>4) Proposed dividend.</t>
  </si>
  <si>
    <t>3) Based on Underlying operating profit, i.e. Operating profit excl. items affecting comparability.</t>
  </si>
  <si>
    <t>2) The amount has been adjusted compared to the amount presented in the Vattenfall's 2013 Year-End report.</t>
  </si>
  <si>
    <t xml:space="preserve">     See Note 2 to the consolidated accounts, Important changes in the financial statements compared with the preceding year.</t>
  </si>
  <si>
    <t xml:space="preserve">1) The amount for 2012 have been recalculated compared with  previously published information in Vattenfall's 2012 Annual Report. </t>
  </si>
  <si>
    <t>Average number employees</t>
  </si>
  <si>
    <t>Electricity generation, TWh</t>
  </si>
  <si>
    <t>Investments</t>
  </si>
  <si>
    <t>—</t>
  </si>
  <si>
    <t>Dividend to owners of the Parent Company</t>
  </si>
  <si>
    <t>Other information</t>
  </si>
  <si>
    <t>Adjusted net debt/EBITDA, (x)</t>
  </si>
  <si>
    <t>Net debt/EBITDA, (x)</t>
  </si>
  <si>
    <t>Net debt/net debt plus equity, %</t>
  </si>
  <si>
    <t>Gross debt/gross debt plus equity, %</t>
  </si>
  <si>
    <t>Net debt/equity, %</t>
  </si>
  <si>
    <t>Gross debt/equity, %</t>
  </si>
  <si>
    <t>Equity/total assets, %</t>
  </si>
  <si>
    <r>
      <t>EBITDA/net financial items, (x)</t>
    </r>
    <r>
      <rPr>
        <vertAlign val="superscript"/>
        <sz val="9"/>
        <rFont val="Arial"/>
        <family val="2"/>
      </rPr>
      <t>3</t>
    </r>
  </si>
  <si>
    <t>EBITDA/net financial items, (x)</t>
  </si>
  <si>
    <t>FFO/adjusted net debt,%</t>
  </si>
  <si>
    <t>FFO/net debt, %</t>
  </si>
  <si>
    <t>FFO/gross debt, %</t>
  </si>
  <si>
    <t>Cash flow interest cover after maintenance investments, (x)</t>
  </si>
  <si>
    <t>FFO interest cover, net, (x)</t>
  </si>
  <si>
    <t>FFO interest cover, (x)</t>
  </si>
  <si>
    <r>
      <t>EBIT interest cover, (x)</t>
    </r>
    <r>
      <rPr>
        <vertAlign val="superscript"/>
        <sz val="9"/>
        <rFont val="Arial"/>
        <family val="2"/>
      </rPr>
      <t>3</t>
    </r>
  </si>
  <si>
    <t>EBIT interest cover, (x)</t>
  </si>
  <si>
    <r>
      <t>Return on capital employed, %</t>
    </r>
    <r>
      <rPr>
        <vertAlign val="superscript"/>
        <sz val="9"/>
        <rFont val="Arial"/>
        <family val="2"/>
      </rPr>
      <t>3</t>
    </r>
  </si>
  <si>
    <t>Return on capital employed, %</t>
  </si>
  <si>
    <t>Return on equity, %</t>
  </si>
  <si>
    <r>
      <t>Pre-tax profit margin, %</t>
    </r>
    <r>
      <rPr>
        <vertAlign val="superscript"/>
        <sz val="9"/>
        <rFont val="Arial"/>
        <family val="2"/>
      </rPr>
      <t>3</t>
    </r>
  </si>
  <si>
    <t>Pre-tax profit margin, %</t>
  </si>
  <si>
    <r>
      <t xml:space="preserve">Operating margin, % </t>
    </r>
    <r>
      <rPr>
        <vertAlign val="superscript"/>
        <sz val="9"/>
        <rFont val="Arial"/>
        <family val="2"/>
      </rPr>
      <t>3</t>
    </r>
  </si>
  <si>
    <t>Operating margin, %</t>
  </si>
  <si>
    <t>The key ratios are presented as percentages (%) or times (x)</t>
  </si>
  <si>
    <t>Balance sheet total</t>
  </si>
  <si>
    <t>Capital employed, average</t>
  </si>
  <si>
    <t>Noninterest-bearing liabilities</t>
  </si>
  <si>
    <t>Provisions</t>
  </si>
  <si>
    <t>Adjusted net debt</t>
  </si>
  <si>
    <t>Net debt</t>
  </si>
  <si>
    <t>Interest-bearing liabilities</t>
  </si>
  <si>
    <r>
      <t>- of which, attributable to non-controlling interests</t>
    </r>
    <r>
      <rPr>
        <strike/>
        <sz val="9"/>
        <rFont val="Arial"/>
        <family val="2"/>
      </rPr>
      <t xml:space="preserve"> </t>
    </r>
  </si>
  <si>
    <t>- of which, attributable to owners of the Parent Company</t>
  </si>
  <si>
    <t>Equity</t>
  </si>
  <si>
    <t>Cash and cash equivalents and short-term investments</t>
  </si>
  <si>
    <t>Balance sheet items</t>
  </si>
  <si>
    <t>Free cash flow</t>
  </si>
  <si>
    <t>Funds from operations (FFO)</t>
  </si>
  <si>
    <t>Cash flow items</t>
  </si>
  <si>
    <t>Profit for the year</t>
  </si>
  <si>
    <t>Profit before tax</t>
  </si>
  <si>
    <t>Financial expenses</t>
  </si>
  <si>
    <t>Financial income</t>
  </si>
  <si>
    <t>Underlying operating profit</t>
  </si>
  <si>
    <t>Operating profit (EBIT)</t>
  </si>
  <si>
    <t>EBITDA</t>
  </si>
  <si>
    <t>Net sales</t>
  </si>
  <si>
    <t>Income statement items</t>
  </si>
  <si>
    <r>
      <t xml:space="preserve">2012 </t>
    </r>
    <r>
      <rPr>
        <vertAlign val="superscript"/>
        <sz val="9"/>
        <rFont val="Arial"/>
        <family val="2"/>
      </rPr>
      <t>1</t>
    </r>
  </si>
  <si>
    <t>Amounts in SEK million</t>
  </si>
  <si>
    <t>Ten-year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</si>
</sst>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4">
    <font>
      <sz val="9"/>
      <name val="Geneva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trike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20"/>
      <color indexed="48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8">
    <xf numFmtId="0" fontId="0" fillId="0" borderId="0">
      <alignment vertical="top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32" borderId="0" applyNumberFormat="0" applyBorder="0" applyAlignment="0" applyProtection="0"/>
    <xf numFmtId="0" fontId="14" fillId="30" borderId="0" applyNumberFormat="0" applyBorder="0" applyAlignment="0" applyProtection="0"/>
    <xf numFmtId="0" fontId="15" fillId="33" borderId="3" applyNumberFormat="0" applyAlignment="0" applyProtection="0"/>
    <xf numFmtId="0" fontId="16" fillId="25" borderId="4" applyNumberFormat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3" applyNumberFormat="0" applyAlignment="0" applyProtection="0"/>
    <xf numFmtId="0" fontId="23" fillId="0" borderId="8" applyNumberFormat="0" applyFill="0" applyAlignment="0" applyProtection="0"/>
    <xf numFmtId="0" fontId="23" fillId="31" borderId="0" applyNumberFormat="0" applyBorder="0" applyAlignment="0" applyProtection="0"/>
    <xf numFmtId="0" fontId="24" fillId="0" borderId="0"/>
    <xf numFmtId="0" fontId="2" fillId="30" borderId="3" applyNumberFormat="0" applyFont="0" applyAlignment="0" applyProtection="0"/>
    <xf numFmtId="0" fontId="25" fillId="33" borderId="9" applyNumberFormat="0" applyAlignment="0" applyProtection="0"/>
    <xf numFmtId="4" fontId="2" fillId="37" borderId="3" applyNumberFormat="0" applyProtection="0">
      <alignment vertical="center"/>
    </xf>
    <xf numFmtId="4" fontId="26" fillId="38" borderId="3" applyNumberFormat="0" applyProtection="0">
      <alignment vertical="center"/>
    </xf>
    <xf numFmtId="4" fontId="2" fillId="38" borderId="3" applyNumberFormat="0" applyProtection="0">
      <alignment horizontal="left" vertical="center" indent="1"/>
    </xf>
    <xf numFmtId="0" fontId="27" fillId="37" borderId="10" applyNumberFormat="0" applyProtection="0">
      <alignment horizontal="left" vertical="top" indent="1"/>
    </xf>
    <xf numFmtId="4" fontId="2" fillId="39" borderId="3" applyNumberFormat="0" applyProtection="0">
      <alignment horizontal="left" vertical="center" indent="1"/>
    </xf>
    <xf numFmtId="4" fontId="2" fillId="40" borderId="3" applyNumberFormat="0" applyProtection="0">
      <alignment horizontal="right" vertical="center"/>
    </xf>
    <xf numFmtId="4" fontId="2" fillId="41" borderId="3" applyNumberFormat="0" applyProtection="0">
      <alignment horizontal="right" vertical="center"/>
    </xf>
    <xf numFmtId="4" fontId="2" fillId="42" borderId="11" applyNumberFormat="0" applyProtection="0">
      <alignment horizontal="right" vertical="center"/>
    </xf>
    <xf numFmtId="4" fontId="2" fillId="12" borderId="3" applyNumberFormat="0" applyProtection="0">
      <alignment horizontal="right" vertical="center"/>
    </xf>
    <xf numFmtId="4" fontId="2" fillId="43" borderId="3" applyNumberFormat="0" applyProtection="0">
      <alignment horizontal="right" vertical="center"/>
    </xf>
    <xf numFmtId="4" fontId="2" fillId="44" borderId="3" applyNumberFormat="0" applyProtection="0">
      <alignment horizontal="right" vertical="center"/>
    </xf>
    <xf numFmtId="4" fontId="2" fillId="8" borderId="3" applyNumberFormat="0" applyProtection="0">
      <alignment horizontal="right" vertical="center"/>
    </xf>
    <xf numFmtId="4" fontId="2" fillId="4" borderId="3" applyNumberFormat="0" applyProtection="0">
      <alignment horizontal="right" vertical="center"/>
    </xf>
    <xf numFmtId="4" fontId="2" fillId="45" borderId="3" applyNumberFormat="0" applyProtection="0">
      <alignment horizontal="right" vertical="center"/>
    </xf>
    <xf numFmtId="4" fontId="2" fillId="46" borderId="11" applyNumberFormat="0" applyProtection="0">
      <alignment horizontal="left" vertical="center" indent="1"/>
    </xf>
    <xf numFmtId="4" fontId="24" fillId="10" borderId="11" applyNumberFormat="0" applyProtection="0">
      <alignment horizontal="left" vertical="center" indent="1"/>
    </xf>
    <xf numFmtId="4" fontId="24" fillId="10" borderId="11" applyNumberFormat="0" applyProtection="0">
      <alignment horizontal="left" vertical="center" indent="1"/>
    </xf>
    <xf numFmtId="4" fontId="2" fillId="3" borderId="3" applyNumberFormat="0" applyProtection="0">
      <alignment horizontal="right" vertical="center"/>
    </xf>
    <xf numFmtId="4" fontId="2" fillId="2" borderId="11" applyNumberFormat="0" applyProtection="0">
      <alignment horizontal="left" vertical="center" indent="1"/>
    </xf>
    <xf numFmtId="4" fontId="2" fillId="3" borderId="11" applyNumberFormat="0" applyProtection="0">
      <alignment horizontal="left" vertical="center" indent="1"/>
    </xf>
    <xf numFmtId="0" fontId="2" fillId="7" borderId="3" applyNumberFormat="0" applyProtection="0">
      <alignment horizontal="left" vertical="center" indent="1"/>
    </xf>
    <xf numFmtId="0" fontId="2" fillId="10" borderId="10" applyNumberFormat="0" applyProtection="0">
      <alignment horizontal="left" vertical="top" indent="1"/>
    </xf>
    <xf numFmtId="0" fontId="2" fillId="47" borderId="3" applyNumberFormat="0" applyProtection="0">
      <alignment horizontal="left" vertical="center" indent="1"/>
    </xf>
    <xf numFmtId="0" fontId="2" fillId="3" borderId="10" applyNumberFormat="0" applyProtection="0">
      <alignment horizontal="left" vertical="top" indent="1"/>
    </xf>
    <xf numFmtId="0" fontId="2" fillId="48" borderId="3" applyNumberFormat="0" applyProtection="0">
      <alignment horizontal="left" vertical="center" indent="1"/>
    </xf>
    <xf numFmtId="0" fontId="2" fillId="48" borderId="10" applyNumberFormat="0" applyProtection="0">
      <alignment horizontal="left" vertical="top" indent="1"/>
    </xf>
    <xf numFmtId="0" fontId="2" fillId="2" borderId="3" applyNumberFormat="0" applyProtection="0">
      <alignment horizontal="left" vertical="center" indent="1"/>
    </xf>
    <xf numFmtId="0" fontId="2" fillId="2" borderId="10" applyNumberFormat="0" applyProtection="0">
      <alignment horizontal="left" vertical="top" indent="1"/>
    </xf>
    <xf numFmtId="0" fontId="2" fillId="49" borderId="12" applyNumberFormat="0">
      <protection locked="0"/>
    </xf>
    <xf numFmtId="0" fontId="28" fillId="10" borderId="13" applyBorder="0"/>
    <xf numFmtId="4" fontId="29" fillId="50" borderId="10" applyNumberFormat="0" applyProtection="0">
      <alignment vertical="center"/>
    </xf>
    <xf numFmtId="4" fontId="26" fillId="51" borderId="14" applyNumberFormat="0" applyProtection="0">
      <alignment vertical="center"/>
    </xf>
    <xf numFmtId="4" fontId="29" fillId="7" borderId="10" applyNumberFormat="0" applyProtection="0">
      <alignment horizontal="left" vertical="center" indent="1"/>
    </xf>
    <xf numFmtId="0" fontId="29" fillId="50" borderId="10" applyNumberFormat="0" applyProtection="0">
      <alignment horizontal="left" vertical="top" indent="1"/>
    </xf>
    <xf numFmtId="4" fontId="2" fillId="0" borderId="3" applyNumberFormat="0" applyProtection="0">
      <alignment horizontal="right" vertical="center"/>
    </xf>
    <xf numFmtId="4" fontId="26" fillId="52" borderId="3" applyNumberFormat="0" applyProtection="0">
      <alignment horizontal="right" vertical="center"/>
    </xf>
    <xf numFmtId="4" fontId="2" fillId="39" borderId="3" applyNumberFormat="0" applyProtection="0">
      <alignment horizontal="left" vertical="center" indent="1"/>
    </xf>
    <xf numFmtId="0" fontId="29" fillId="3" borderId="10" applyNumberFormat="0" applyProtection="0">
      <alignment horizontal="left" vertical="top" indent="1"/>
    </xf>
    <xf numFmtId="4" fontId="30" fillId="53" borderId="11" applyNumberFormat="0" applyProtection="0">
      <alignment horizontal="left" vertical="center" indent="1"/>
    </xf>
    <xf numFmtId="0" fontId="2" fillId="54" borderId="14"/>
    <xf numFmtId="4" fontId="31" fillId="49" borderId="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4" fillId="0" borderId="0"/>
    <xf numFmtId="0" fontId="9" fillId="0" borderId="0">
      <alignment vertical="top"/>
    </xf>
    <xf numFmtId="0" fontId="32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3" fillId="0" borderId="0" applyNumberFormat="0" applyFill="0" applyBorder="0" applyAlignment="0" applyProtection="0"/>
  </cellStyleXfs>
  <cellXfs count="40">
    <xf numFmtId="0" fontId="0" fillId="0" borderId="0" xfId="0">
      <alignment vertical="top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3" fontId="3" fillId="0" borderId="0" xfId="0" applyNumberFormat="1" applyFont="1" applyFill="1" applyAlignment="1"/>
    <xf numFmtId="3" fontId="1" fillId="0" borderId="0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164" fontId="1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/>
    <xf numFmtId="0" fontId="4" fillId="0" borderId="0" xfId="0" applyFont="1" applyFill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/>
    <xf numFmtId="164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6" fillId="0" borderId="0" xfId="0" applyFont="1" applyFill="1" applyAlignment="1"/>
    <xf numFmtId="3" fontId="3" fillId="0" borderId="0" xfId="0" applyNumberFormat="1" applyFont="1" applyFill="1" applyAlignment="1">
      <alignment horizontal="right"/>
    </xf>
    <xf numFmtId="0" fontId="1" fillId="0" borderId="0" xfId="0" applyFont="1" applyFill="1" applyBorder="1">
      <alignment vertical="top"/>
    </xf>
    <xf numFmtId="3" fontId="1" fillId="0" borderId="0" xfId="0" quotePrefix="1" applyNumberFormat="1" applyFont="1" applyFill="1" applyBorder="1" applyAlignment="1"/>
    <xf numFmtId="0" fontId="1" fillId="0" borderId="0" xfId="0" quotePrefix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Alignment="1"/>
  </cellXfs>
  <cellStyles count="10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 2" xfId="57"/>
    <cellStyle name="Normal" xfId="0" builtinId="0"/>
    <cellStyle name="Normal 2" xfId="58"/>
    <cellStyle name="Note" xfId="59"/>
    <cellStyle name="Output" xfId="60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97"/>
    <cellStyle name="SAPBEXstdItemX" xfId="98"/>
    <cellStyle name="SAPBEXtitle" xfId="99"/>
    <cellStyle name="SAPBEXunassignedItem" xfId="100"/>
    <cellStyle name="SAPBEXundefined" xfId="101"/>
    <cellStyle name="Sheet Title" xfId="102"/>
    <cellStyle name="Standard_Konc noter" xfId="103"/>
    <cellStyle name="Stil 1" xfId="104"/>
    <cellStyle name="Title" xfId="105"/>
    <cellStyle name="Total" xfId="106"/>
    <cellStyle name="Warning Text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workbookViewId="0">
      <selection activeCell="U34" sqref="U34"/>
    </sheetView>
  </sheetViews>
  <sheetFormatPr defaultColWidth="11.42578125" defaultRowHeight="12"/>
  <cols>
    <col min="1" max="1" width="52.5703125" style="1" customWidth="1"/>
    <col min="2" max="2" width="9" style="1" customWidth="1"/>
    <col min="3" max="3" width="8.7109375" style="1" customWidth="1"/>
    <col min="4" max="4" width="1.7109375" style="1" hidden="1" customWidth="1"/>
    <col min="5" max="5" width="8.7109375" style="1" customWidth="1"/>
    <col min="6" max="6" width="1.7109375" style="1" hidden="1" customWidth="1"/>
    <col min="7" max="7" width="8.7109375" style="2" customWidth="1"/>
    <col min="8" max="8" width="1.7109375" style="1" hidden="1" customWidth="1"/>
    <col min="9" max="9" width="8.7109375" style="1" customWidth="1"/>
    <col min="10" max="10" width="1.7109375" style="1" hidden="1" customWidth="1"/>
    <col min="11" max="11" width="8.7109375" style="1" customWidth="1"/>
    <col min="12" max="12" width="1.7109375" style="1" hidden="1" customWidth="1"/>
    <col min="13" max="13" width="8.7109375" style="1" customWidth="1"/>
    <col min="14" max="14" width="1.7109375" style="1" hidden="1" customWidth="1"/>
    <col min="15" max="15" width="8.7109375" style="1" customWidth="1"/>
    <col min="16" max="16" width="1.7109375" style="1" hidden="1" customWidth="1"/>
    <col min="17" max="17" width="8.7109375" style="1" customWidth="1"/>
    <col min="18" max="18" width="1.7109375" style="1" hidden="1" customWidth="1"/>
    <col min="19" max="19" width="8.7109375" style="1" customWidth="1"/>
    <col min="20" max="20" width="1.7109375" style="1" customWidth="1"/>
    <col min="21" max="16384" width="11.42578125" style="1"/>
  </cols>
  <sheetData>
    <row r="1" spans="1:20" ht="24.75">
      <c r="A1" s="39" t="s">
        <v>62</v>
      </c>
      <c r="B1" s="38"/>
      <c r="C1" s="38"/>
      <c r="D1" s="38"/>
      <c r="E1" s="38"/>
      <c r="F1" s="38"/>
      <c r="G1" s="38"/>
      <c r="H1" s="38"/>
      <c r="I1" s="17"/>
      <c r="J1" s="17"/>
      <c r="K1" s="37"/>
      <c r="L1" s="37"/>
      <c r="M1" s="37"/>
      <c r="N1" s="37"/>
      <c r="O1" s="37"/>
      <c r="P1" s="37"/>
      <c r="Q1" s="37"/>
      <c r="R1" s="37"/>
      <c r="T1" s="37"/>
    </row>
    <row r="2" spans="1:20" ht="15.75" customHeight="1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0" ht="13.5">
      <c r="A3" s="10" t="s">
        <v>61</v>
      </c>
      <c r="B3" s="10">
        <v>2004</v>
      </c>
      <c r="C3" s="35">
        <v>2005</v>
      </c>
      <c r="D3" s="10"/>
      <c r="E3" s="35">
        <v>2006</v>
      </c>
      <c r="F3" s="10"/>
      <c r="G3" s="34">
        <v>2007</v>
      </c>
      <c r="H3" s="10"/>
      <c r="I3" s="34">
        <v>2008</v>
      </c>
      <c r="J3" s="10"/>
      <c r="K3" s="34">
        <v>2009</v>
      </c>
      <c r="L3" s="10"/>
      <c r="M3" s="34">
        <v>2010</v>
      </c>
      <c r="N3" s="10"/>
      <c r="O3" s="34">
        <v>2011</v>
      </c>
      <c r="P3" s="9"/>
      <c r="Q3" s="33" t="s">
        <v>60</v>
      </c>
      <c r="R3" s="9"/>
      <c r="S3" s="32">
        <v>2013</v>
      </c>
      <c r="T3" s="9"/>
    </row>
    <row r="4" spans="1:20">
      <c r="I4" s="2"/>
      <c r="J4" s="2"/>
      <c r="K4" s="2"/>
      <c r="M4" s="2"/>
      <c r="O4" s="2"/>
      <c r="Q4" s="2"/>
      <c r="R4" s="2"/>
      <c r="T4" s="2"/>
    </row>
    <row r="5" spans="1:20">
      <c r="A5" s="16" t="s">
        <v>59</v>
      </c>
      <c r="D5" s="16"/>
      <c r="F5" s="16"/>
      <c r="G5" s="15"/>
      <c r="H5" s="16"/>
      <c r="I5" s="15"/>
      <c r="J5" s="15"/>
      <c r="K5" s="15"/>
      <c r="L5" s="16"/>
      <c r="M5" s="15"/>
      <c r="N5" s="16"/>
      <c r="O5" s="15"/>
      <c r="P5" s="16"/>
      <c r="Q5" s="15"/>
      <c r="R5" s="15"/>
      <c r="T5" s="15"/>
    </row>
    <row r="6" spans="1:20" ht="13.5">
      <c r="A6" s="1" t="s">
        <v>58</v>
      </c>
      <c r="B6" s="14">
        <v>111016</v>
      </c>
      <c r="C6" s="2">
        <f>129158-5364</f>
        <v>123794</v>
      </c>
      <c r="D6" s="12"/>
      <c r="E6" s="14">
        <f>145815-10013</f>
        <v>135802</v>
      </c>
      <c r="F6" s="12"/>
      <c r="G6" s="2">
        <v>143639</v>
      </c>
      <c r="H6" s="2"/>
      <c r="I6" s="2">
        <v>164549</v>
      </c>
      <c r="K6" s="2">
        <v>205407</v>
      </c>
      <c r="M6" s="2">
        <v>213572</v>
      </c>
      <c r="O6" s="2">
        <v>181040</v>
      </c>
      <c r="Q6" s="2">
        <v>167313</v>
      </c>
      <c r="R6" s="2"/>
      <c r="S6" s="2">
        <v>171684</v>
      </c>
      <c r="T6" s="2"/>
    </row>
    <row r="7" spans="1:20" ht="13.5">
      <c r="A7" s="1" t="s">
        <v>57</v>
      </c>
      <c r="B7" s="2">
        <v>33161</v>
      </c>
      <c r="C7" s="2">
        <v>43175</v>
      </c>
      <c r="D7" s="12"/>
      <c r="E7" s="2">
        <f>43166+772</f>
        <v>43938</v>
      </c>
      <c r="F7" s="12"/>
      <c r="G7" s="2">
        <v>45821</v>
      </c>
      <c r="H7" s="2"/>
      <c r="I7" s="2">
        <v>45960</v>
      </c>
      <c r="K7" s="2">
        <v>51777</v>
      </c>
      <c r="M7" s="2">
        <v>60706</v>
      </c>
      <c r="O7" s="2">
        <v>54538</v>
      </c>
      <c r="Q7" s="2">
        <f>54488-217</f>
        <v>54271</v>
      </c>
      <c r="R7" s="2"/>
      <c r="S7" s="2">
        <v>43319</v>
      </c>
      <c r="T7" s="27">
        <v>2</v>
      </c>
    </row>
    <row r="8" spans="1:20" ht="13.5">
      <c r="A8" s="1" t="s">
        <v>56</v>
      </c>
      <c r="B8" s="2">
        <v>17887</v>
      </c>
      <c r="C8" s="2">
        <v>28363</v>
      </c>
      <c r="D8" s="12"/>
      <c r="E8" s="2">
        <f>27049+772</f>
        <v>27821</v>
      </c>
      <c r="F8" s="12"/>
      <c r="G8" s="2">
        <v>28583</v>
      </c>
      <c r="H8" s="2"/>
      <c r="I8" s="2">
        <v>29895</v>
      </c>
      <c r="K8" s="2">
        <v>27938</v>
      </c>
      <c r="M8" s="2">
        <v>29853</v>
      </c>
      <c r="O8" s="2">
        <v>23209</v>
      </c>
      <c r="Q8" s="2">
        <f>26175-217</f>
        <v>25958</v>
      </c>
      <c r="R8" s="2"/>
      <c r="S8" s="2">
        <v>-6453</v>
      </c>
      <c r="T8" s="2"/>
    </row>
    <row r="9" spans="1:20" ht="13.5">
      <c r="A9" s="1" t="s">
        <v>55</v>
      </c>
      <c r="B9" s="2">
        <v>20102</v>
      </c>
      <c r="C9" s="2">
        <v>25377</v>
      </c>
      <c r="D9" s="12"/>
      <c r="E9" s="2">
        <f>26676+772</f>
        <v>27448</v>
      </c>
      <c r="F9" s="12"/>
      <c r="G9" s="2">
        <f>28583-86</f>
        <v>28497</v>
      </c>
      <c r="H9" s="2"/>
      <c r="I9" s="2">
        <f>29895-98+423</f>
        <v>30220</v>
      </c>
      <c r="K9" s="2">
        <f>27938-58+4231-817</f>
        <v>31294</v>
      </c>
      <c r="M9" s="2">
        <v>36838</v>
      </c>
      <c r="O9" s="2">
        <v>30793</v>
      </c>
      <c r="Q9" s="2">
        <f>27747-217</f>
        <v>27530</v>
      </c>
      <c r="R9" s="2"/>
      <c r="S9" s="2">
        <v>27900</v>
      </c>
      <c r="T9" s="2"/>
    </row>
    <row r="10" spans="1:20">
      <c r="A10" s="1" t="s">
        <v>54</v>
      </c>
      <c r="B10" s="2">
        <v>2969</v>
      </c>
      <c r="C10" s="2">
        <v>3810</v>
      </c>
      <c r="E10" s="2">
        <v>3839</v>
      </c>
      <c r="G10" s="2">
        <v>2276</v>
      </c>
      <c r="H10" s="2"/>
      <c r="I10" s="2">
        <v>3412</v>
      </c>
      <c r="K10" s="2">
        <v>2814</v>
      </c>
      <c r="M10" s="2">
        <v>2514</v>
      </c>
      <c r="O10" s="2">
        <v>3843</v>
      </c>
      <c r="Q10" s="2">
        <v>2636</v>
      </c>
      <c r="R10" s="2"/>
      <c r="S10" s="2">
        <v>1196</v>
      </c>
      <c r="T10" s="2"/>
    </row>
    <row r="11" spans="1:20" ht="13.5">
      <c r="A11" s="1" t="s">
        <v>53</v>
      </c>
      <c r="B11" s="2">
        <v>-6297</v>
      </c>
      <c r="C11" s="2">
        <v>-6013</v>
      </c>
      <c r="D11" s="12"/>
      <c r="E11" s="2">
        <f>-5363-772</f>
        <v>-6135</v>
      </c>
      <c r="F11" s="12"/>
      <c r="G11" s="2">
        <v>-6926</v>
      </c>
      <c r="H11" s="2"/>
      <c r="I11" s="2">
        <v>-9809</v>
      </c>
      <c r="K11" s="2">
        <v>-13018</v>
      </c>
      <c r="M11" s="2">
        <v>-10944</v>
      </c>
      <c r="O11" s="2">
        <v>-12754</v>
      </c>
      <c r="Q11" s="2">
        <f>-10510+34</f>
        <v>-10476</v>
      </c>
      <c r="R11" s="2"/>
      <c r="S11" s="2">
        <v>-9954</v>
      </c>
      <c r="T11" s="2"/>
    </row>
    <row r="12" spans="1:20">
      <c r="A12" s="1" t="s">
        <v>52</v>
      </c>
      <c r="B12" s="2">
        <v>14559</v>
      </c>
      <c r="C12" s="2">
        <v>26160</v>
      </c>
      <c r="E12" s="2">
        <v>25525</v>
      </c>
      <c r="G12" s="2">
        <v>23933</v>
      </c>
      <c r="H12" s="2"/>
      <c r="I12" s="2">
        <v>23498</v>
      </c>
      <c r="K12" s="2">
        <v>17734</v>
      </c>
      <c r="M12" s="2">
        <v>21423</v>
      </c>
      <c r="O12" s="2">
        <v>14298</v>
      </c>
      <c r="Q12" s="2">
        <f>18301-183</f>
        <v>18118</v>
      </c>
      <c r="R12" s="2"/>
      <c r="S12" s="2">
        <v>-15211</v>
      </c>
      <c r="T12" s="2"/>
    </row>
    <row r="13" spans="1:20">
      <c r="A13" s="9" t="s">
        <v>51</v>
      </c>
      <c r="B13" s="17">
        <f>B14+B16</f>
        <v>9604</v>
      </c>
      <c r="C13" s="17">
        <f>C14+C16</f>
        <v>20518</v>
      </c>
      <c r="D13" s="9"/>
      <c r="E13" s="17">
        <f>E14+E16</f>
        <v>19858</v>
      </c>
      <c r="F13" s="9"/>
      <c r="G13" s="17">
        <f>G14+G16</f>
        <v>20686</v>
      </c>
      <c r="H13" s="17"/>
      <c r="I13" s="17">
        <f>I14+I16</f>
        <v>17763</v>
      </c>
      <c r="J13" s="9"/>
      <c r="K13" s="17">
        <f>K14+K16</f>
        <v>13448</v>
      </c>
      <c r="L13" s="17">
        <f>L14+L16</f>
        <v>0</v>
      </c>
      <c r="M13" s="17">
        <f>M14+M16</f>
        <v>13185</v>
      </c>
      <c r="N13" s="9"/>
      <c r="O13" s="17">
        <f>O14+O16</f>
        <v>10416</v>
      </c>
      <c r="P13" s="9"/>
      <c r="Q13" s="17">
        <f>17224-177</f>
        <v>17047</v>
      </c>
      <c r="R13" s="17"/>
      <c r="S13" s="2">
        <v>-13543</v>
      </c>
      <c r="T13" s="17"/>
    </row>
    <row r="14" spans="1:20">
      <c r="A14" s="30" t="s">
        <v>44</v>
      </c>
      <c r="B14" s="29">
        <v>8944</v>
      </c>
      <c r="C14" s="17">
        <v>19235</v>
      </c>
      <c r="D14" s="30"/>
      <c r="E14" s="29">
        <v>18729</v>
      </c>
      <c r="F14" s="30"/>
      <c r="G14" s="29">
        <v>19769</v>
      </c>
      <c r="H14" s="29"/>
      <c r="I14" s="29">
        <v>17095</v>
      </c>
      <c r="J14" s="30"/>
      <c r="K14" s="29">
        <v>12896</v>
      </c>
      <c r="L14" s="30"/>
      <c r="M14" s="29">
        <v>12997</v>
      </c>
      <c r="N14" s="30"/>
      <c r="O14" s="29">
        <v>11083</v>
      </c>
      <c r="P14" s="30"/>
      <c r="Q14" s="29">
        <f>16936-177</f>
        <v>16759</v>
      </c>
      <c r="R14" s="29"/>
      <c r="S14" s="2">
        <v>-13668</v>
      </c>
      <c r="T14" s="29"/>
    </row>
    <row r="15" spans="1:20">
      <c r="A15" s="30" t="s">
        <v>43</v>
      </c>
      <c r="G15" s="1"/>
      <c r="N15" s="30"/>
      <c r="O15" s="29"/>
      <c r="P15" s="30"/>
      <c r="Q15" s="29"/>
      <c r="R15" s="29"/>
      <c r="S15" s="2"/>
      <c r="T15" s="29"/>
    </row>
    <row r="16" spans="1:20">
      <c r="A16" s="31"/>
      <c r="B16" s="29">
        <v>660</v>
      </c>
      <c r="C16" s="17">
        <v>1283</v>
      </c>
      <c r="D16" s="30"/>
      <c r="E16" s="29">
        <v>1129</v>
      </c>
      <c r="F16" s="30"/>
      <c r="G16" s="29">
        <v>917</v>
      </c>
      <c r="H16" s="29"/>
      <c r="I16" s="29">
        <v>668</v>
      </c>
      <c r="J16" s="30"/>
      <c r="K16" s="29">
        <v>552</v>
      </c>
      <c r="L16" s="30"/>
      <c r="M16" s="29">
        <v>188</v>
      </c>
      <c r="N16" s="30"/>
      <c r="O16" s="29">
        <v>-667</v>
      </c>
      <c r="P16" s="30"/>
      <c r="Q16" s="29">
        <v>288</v>
      </c>
      <c r="R16" s="29"/>
      <c r="S16" s="2">
        <v>125</v>
      </c>
      <c r="T16" s="29"/>
    </row>
    <row r="17" spans="1:20">
      <c r="A17" s="9"/>
      <c r="B17" s="17"/>
      <c r="C17" s="17"/>
      <c r="D17" s="9"/>
      <c r="E17" s="17"/>
      <c r="F17" s="9"/>
      <c r="G17" s="17"/>
      <c r="H17" s="17"/>
      <c r="I17" s="17"/>
      <c r="J17" s="9"/>
      <c r="K17" s="17"/>
      <c r="L17" s="9"/>
      <c r="M17" s="17"/>
      <c r="N17" s="9"/>
      <c r="O17" s="17"/>
      <c r="P17" s="9"/>
      <c r="Q17" s="17"/>
      <c r="R17" s="17"/>
      <c r="S17" s="2"/>
      <c r="T17" s="17"/>
    </row>
    <row r="18" spans="1:20">
      <c r="A18" s="16" t="s">
        <v>50</v>
      </c>
      <c r="B18" s="15"/>
      <c r="D18" s="16"/>
      <c r="E18" s="15"/>
      <c r="F18" s="16"/>
      <c r="G18" s="15"/>
      <c r="H18" s="15"/>
      <c r="I18" s="15"/>
      <c r="J18" s="16"/>
      <c r="K18" s="15"/>
      <c r="L18" s="16"/>
      <c r="M18" s="15"/>
      <c r="N18" s="16"/>
      <c r="O18" s="15"/>
      <c r="P18" s="16"/>
      <c r="Q18" s="15"/>
      <c r="R18" s="15"/>
      <c r="S18" s="2"/>
      <c r="T18" s="15"/>
    </row>
    <row r="19" spans="1:20">
      <c r="A19" s="9" t="s">
        <v>49</v>
      </c>
      <c r="B19" s="17">
        <v>24302</v>
      </c>
      <c r="C19" s="17">
        <v>31386</v>
      </c>
      <c r="D19" s="9"/>
      <c r="E19" s="17">
        <v>35673</v>
      </c>
      <c r="F19" s="9"/>
      <c r="G19" s="17">
        <v>34049</v>
      </c>
      <c r="H19" s="17"/>
      <c r="I19" s="17">
        <v>30735</v>
      </c>
      <c r="J19" s="9"/>
      <c r="K19" s="17">
        <v>36700</v>
      </c>
      <c r="L19" s="9"/>
      <c r="M19" s="17">
        <v>40108</v>
      </c>
      <c r="N19" s="9"/>
      <c r="O19" s="17">
        <v>38256</v>
      </c>
      <c r="P19" s="9"/>
      <c r="Q19" s="17">
        <v>34419</v>
      </c>
      <c r="R19" s="17"/>
      <c r="S19" s="2">
        <v>31888</v>
      </c>
      <c r="T19" s="17"/>
    </row>
    <row r="20" spans="1:20">
      <c r="A20" s="1" t="s">
        <v>48</v>
      </c>
      <c r="B20" s="2">
        <v>15684</v>
      </c>
      <c r="C20" s="2">
        <v>14341</v>
      </c>
      <c r="E20" s="2">
        <v>23178</v>
      </c>
      <c r="G20" s="2">
        <v>19650</v>
      </c>
      <c r="H20" s="2"/>
      <c r="I20" s="2">
        <v>18963</v>
      </c>
      <c r="K20" s="2">
        <v>27566</v>
      </c>
      <c r="M20" s="2">
        <v>23846</v>
      </c>
      <c r="O20" s="2">
        <v>17637</v>
      </c>
      <c r="Q20" s="2">
        <v>12619</v>
      </c>
      <c r="R20" s="2"/>
      <c r="S20" s="2">
        <v>23571</v>
      </c>
      <c r="T20" s="2"/>
    </row>
    <row r="21" spans="1:20">
      <c r="B21" s="2"/>
      <c r="E21" s="2"/>
      <c r="H21" s="2"/>
      <c r="I21" s="2"/>
      <c r="K21" s="2"/>
      <c r="M21" s="2"/>
      <c r="O21" s="2"/>
      <c r="Q21" s="2"/>
      <c r="R21" s="2"/>
      <c r="S21" s="2"/>
      <c r="T21" s="2"/>
    </row>
    <row r="22" spans="1:20">
      <c r="A22" s="16" t="s">
        <v>47</v>
      </c>
      <c r="B22" s="15"/>
      <c r="D22" s="16"/>
      <c r="E22" s="15"/>
      <c r="F22" s="16"/>
      <c r="G22" s="15"/>
      <c r="H22" s="15"/>
      <c r="I22" s="15"/>
      <c r="J22" s="16"/>
      <c r="K22" s="15"/>
      <c r="L22" s="16"/>
      <c r="M22" s="15"/>
      <c r="N22" s="16"/>
      <c r="O22" s="15"/>
      <c r="P22" s="16"/>
      <c r="Q22" s="15"/>
      <c r="R22" s="15"/>
      <c r="S22" s="2"/>
      <c r="T22" s="15"/>
    </row>
    <row r="23" spans="1:20">
      <c r="A23" s="1" t="s">
        <v>46</v>
      </c>
      <c r="B23" s="2">
        <v>13616</v>
      </c>
      <c r="C23" s="2">
        <f>8025+6049</f>
        <v>14074</v>
      </c>
      <c r="E23" s="2">
        <f>7534+14634</f>
        <v>22168</v>
      </c>
      <c r="G23" s="2">
        <f>12096+10563</f>
        <v>22659</v>
      </c>
      <c r="H23" s="2"/>
      <c r="I23" s="2">
        <f>20904+19332</f>
        <v>40236</v>
      </c>
      <c r="K23" s="2">
        <f>46385+10555</f>
        <v>56940</v>
      </c>
      <c r="M23" s="2">
        <f>31278+12595</f>
        <v>43873</v>
      </c>
      <c r="O23" s="2">
        <v>28685</v>
      </c>
      <c r="Q23" s="2">
        <v>46495</v>
      </c>
      <c r="R23" s="2"/>
      <c r="S23" s="2">
        <v>27254</v>
      </c>
      <c r="T23" s="2"/>
    </row>
    <row r="24" spans="1:20">
      <c r="A24" s="1" t="s">
        <v>45</v>
      </c>
      <c r="B24" s="2">
        <f>B25+B26</f>
        <v>85551</v>
      </c>
      <c r="C24" s="2">
        <f>C25+C26</f>
        <v>90909</v>
      </c>
      <c r="E24" s="2">
        <f>E25+E26</f>
        <v>107674</v>
      </c>
      <c r="G24" s="2">
        <f>G25+G26</f>
        <v>124132</v>
      </c>
      <c r="H24" s="2"/>
      <c r="I24" s="2">
        <f>I25+I26</f>
        <v>140886</v>
      </c>
      <c r="K24" s="2">
        <f>K25+K26</f>
        <v>142404</v>
      </c>
      <c r="L24" s="2" t="e">
        <f>L25+#REF!</f>
        <v>#REF!</v>
      </c>
      <c r="M24" s="2">
        <f>M25+M26</f>
        <v>133621</v>
      </c>
      <c r="O24" s="2">
        <f>O25+O26</f>
        <v>138931</v>
      </c>
      <c r="Q24" s="2">
        <f>Q25+Q26</f>
        <v>149372</v>
      </c>
      <c r="R24" s="2"/>
      <c r="S24" s="2">
        <v>130718</v>
      </c>
      <c r="T24" s="2"/>
    </row>
    <row r="25" spans="1:20">
      <c r="A25" s="30" t="s">
        <v>44</v>
      </c>
      <c r="B25" s="29">
        <v>75437</v>
      </c>
      <c r="C25" s="2">
        <v>80565</v>
      </c>
      <c r="D25" s="30"/>
      <c r="E25" s="29">
        <v>96589</v>
      </c>
      <c r="F25" s="30"/>
      <c r="G25" s="29">
        <v>111709</v>
      </c>
      <c r="H25" s="29"/>
      <c r="I25" s="29">
        <v>129861</v>
      </c>
      <c r="J25" s="30"/>
      <c r="K25" s="29">
        <v>135620</v>
      </c>
      <c r="L25" s="30"/>
      <c r="M25" s="29">
        <v>126704</v>
      </c>
      <c r="N25" s="30"/>
      <c r="O25" s="29">
        <v>131988</v>
      </c>
      <c r="P25" s="30"/>
      <c r="Q25" s="29">
        <f>146428-5487-177</f>
        <v>140764</v>
      </c>
      <c r="R25" s="29"/>
      <c r="S25" s="2">
        <v>120370</v>
      </c>
      <c r="T25" s="29"/>
    </row>
    <row r="26" spans="1:20">
      <c r="A26" s="30" t="s">
        <v>43</v>
      </c>
      <c r="B26" s="29">
        <v>10114</v>
      </c>
      <c r="C26" s="2">
        <v>10344</v>
      </c>
      <c r="D26" s="30"/>
      <c r="E26" s="29">
        <v>11085</v>
      </c>
      <c r="F26" s="30"/>
      <c r="G26" s="29">
        <v>12423</v>
      </c>
      <c r="H26" s="29"/>
      <c r="I26" s="29">
        <v>11025</v>
      </c>
      <c r="J26" s="30"/>
      <c r="K26" s="29">
        <v>6784</v>
      </c>
      <c r="L26" s="30"/>
      <c r="M26" s="29">
        <v>6917</v>
      </c>
      <c r="N26" s="30"/>
      <c r="O26" s="29">
        <v>6943</v>
      </c>
      <c r="P26" s="30"/>
      <c r="Q26" s="29">
        <f>8790-182</f>
        <v>8608</v>
      </c>
      <c r="R26" s="29"/>
      <c r="S26" s="2">
        <v>10348</v>
      </c>
      <c r="T26" s="29"/>
    </row>
    <row r="27" spans="1:20">
      <c r="A27" s="1" t="s">
        <v>42</v>
      </c>
      <c r="B27" s="2">
        <v>73013</v>
      </c>
      <c r="C27" s="2">
        <f>9268+59865+9530</f>
        <v>78663</v>
      </c>
      <c r="E27" s="2">
        <f>8911+46868+15796</f>
        <v>71575</v>
      </c>
      <c r="G27" s="2">
        <f>9341+42683+15165</f>
        <v>67189</v>
      </c>
      <c r="H27" s="2"/>
      <c r="I27" s="2">
        <f>10811+67022+29514</f>
        <v>107347</v>
      </c>
      <c r="K27" s="2">
        <f>10250+174428+28816</f>
        <v>213494</v>
      </c>
      <c r="M27" s="2">
        <f>8929+157918+21430</f>
        <v>188277</v>
      </c>
      <c r="O27" s="2">
        <f>8883+149602+11865</f>
        <v>170350</v>
      </c>
      <c r="Q27" s="2">
        <v>160261</v>
      </c>
      <c r="R27" s="2"/>
      <c r="S27" s="2">
        <v>134295</v>
      </c>
      <c r="T27" s="2"/>
    </row>
    <row r="28" spans="1:20">
      <c r="A28" s="1" t="s">
        <v>41</v>
      </c>
      <c r="B28" s="2">
        <v>55411</v>
      </c>
      <c r="C28" s="2">
        <v>64343</v>
      </c>
      <c r="E28" s="2">
        <v>49407</v>
      </c>
      <c r="G28" s="2">
        <f>43715+25</f>
        <v>43740</v>
      </c>
      <c r="H28" s="2"/>
      <c r="I28" s="2">
        <v>66000</v>
      </c>
      <c r="K28" s="2">
        <v>154987</v>
      </c>
      <c r="M28" s="2">
        <v>144109</v>
      </c>
      <c r="O28" s="2">
        <v>141089</v>
      </c>
      <c r="Q28" s="2">
        <v>111907</v>
      </c>
      <c r="R28" s="2"/>
      <c r="S28" s="2">
        <v>106912</v>
      </c>
      <c r="T28" s="2"/>
    </row>
    <row r="29" spans="1:20">
      <c r="A29" s="28" t="s">
        <v>40</v>
      </c>
      <c r="B29" s="14" t="s">
        <v>8</v>
      </c>
      <c r="C29" s="14" t="s">
        <v>8</v>
      </c>
      <c r="E29" s="14" t="s">
        <v>8</v>
      </c>
      <c r="G29" s="14" t="s">
        <v>8</v>
      </c>
      <c r="H29" s="2"/>
      <c r="I29" s="14" t="s">
        <v>8</v>
      </c>
      <c r="K29" s="14" t="s">
        <v>8</v>
      </c>
      <c r="M29" s="14" t="s">
        <v>8</v>
      </c>
      <c r="O29" s="2">
        <v>176031</v>
      </c>
      <c r="Q29" s="2">
        <v>153335</v>
      </c>
      <c r="R29" s="2"/>
      <c r="S29" s="2">
        <v>162597</v>
      </c>
      <c r="T29" s="2"/>
    </row>
    <row r="30" spans="1:20">
      <c r="A30" s="1" t="s">
        <v>39</v>
      </c>
      <c r="B30" s="2">
        <v>61941</v>
      </c>
      <c r="C30" s="2">
        <f>42976+4715+17432</f>
        <v>65123</v>
      </c>
      <c r="E30" s="2">
        <f>45364+3853+16877</f>
        <v>66094</v>
      </c>
      <c r="G30" s="2">
        <f>17735+51614+4636</f>
        <v>73985</v>
      </c>
      <c r="H30" s="2"/>
      <c r="I30" s="2">
        <f>64068+20752+4979</f>
        <v>89799</v>
      </c>
      <c r="K30" s="2">
        <f>20690+65601+4809</f>
        <v>91100</v>
      </c>
      <c r="M30" s="2">
        <f>18137+62494+7191</f>
        <v>87822</v>
      </c>
      <c r="O30" s="2">
        <f>17995+66487+7237</f>
        <v>91719</v>
      </c>
      <c r="Q30" s="2">
        <f>21890+68326+5608+8694-687+1</f>
        <v>103832</v>
      </c>
      <c r="R30" s="2"/>
      <c r="S30" s="2">
        <v>110188</v>
      </c>
      <c r="T30" s="2"/>
    </row>
    <row r="31" spans="1:20">
      <c r="A31" s="1" t="s">
        <v>38</v>
      </c>
      <c r="B31" s="2">
        <v>64700</v>
      </c>
      <c r="C31" s="2">
        <f>39927+2425+17432+33906+17393+2075-5353-17432</f>
        <v>90373</v>
      </c>
      <c r="E31" s="2">
        <f>16877+29875+2320+27676+14367+3585-16877</f>
        <v>77823</v>
      </c>
      <c r="G31" s="2">
        <f>23704+3285+15408+395+14242+12968+2927+1</f>
        <v>72930</v>
      </c>
      <c r="H31" s="2"/>
      <c r="I31" s="2">
        <f>26107+3818+24506+346+28582+21941+2495</f>
        <v>107795</v>
      </c>
      <c r="K31" s="2">
        <f>35953+7480+42106+401+36802+30637+1086+664</f>
        <v>155129</v>
      </c>
      <c r="M31" s="2">
        <f>32490+8409+33184+1912+25216+24804+5697</f>
        <v>131712</v>
      </c>
      <c r="O31" s="2">
        <f>35406+8238+35108+1142+22454+18507+844+1859</f>
        <v>123558</v>
      </c>
      <c r="Q31" s="2">
        <f>15193+34681+7534+35219+2138+5612+15830+854-2144-18</f>
        <v>114899</v>
      </c>
      <c r="R31" s="2"/>
      <c r="S31" s="2">
        <v>111225</v>
      </c>
      <c r="T31" s="2"/>
    </row>
    <row r="32" spans="1:20" ht="13.5">
      <c r="A32" s="28" t="s">
        <v>37</v>
      </c>
      <c r="B32" s="14" t="s">
        <v>8</v>
      </c>
      <c r="C32" s="14" t="s">
        <v>8</v>
      </c>
      <c r="E32" s="14" t="s">
        <v>8</v>
      </c>
      <c r="G32" s="14" t="s">
        <v>8</v>
      </c>
      <c r="H32" s="2"/>
      <c r="I32" s="14" t="s">
        <v>8</v>
      </c>
      <c r="K32" s="14" t="s">
        <v>8</v>
      </c>
      <c r="M32" s="14" t="s">
        <v>8</v>
      </c>
      <c r="O32" s="2">
        <v>317799</v>
      </c>
      <c r="Q32" s="2">
        <v>313124</v>
      </c>
      <c r="R32" s="2"/>
      <c r="S32" s="2">
        <v>303000</v>
      </c>
      <c r="T32" s="27">
        <v>2</v>
      </c>
    </row>
    <row r="33" spans="1:20">
      <c r="A33" s="10" t="s">
        <v>36</v>
      </c>
      <c r="B33" s="7">
        <f>B24+B27+B30+B31</f>
        <v>285205</v>
      </c>
      <c r="C33" s="7">
        <f>C24+C27+C30+C31</f>
        <v>325068</v>
      </c>
      <c r="D33" s="10"/>
      <c r="E33" s="7">
        <f>E24+E27+E30+E31</f>
        <v>323166</v>
      </c>
      <c r="F33" s="10"/>
      <c r="G33" s="7">
        <f>G24+G27+G30+G31</f>
        <v>338236</v>
      </c>
      <c r="H33" s="7"/>
      <c r="I33" s="7">
        <f>I24+I27+I30+I31</f>
        <v>445827</v>
      </c>
      <c r="J33" s="10"/>
      <c r="K33" s="7">
        <f>K24+K27+K30+K31</f>
        <v>602127</v>
      </c>
      <c r="L33" s="10"/>
      <c r="M33" s="7">
        <f>M24+M27+M30+M31</f>
        <v>541432</v>
      </c>
      <c r="N33" s="10"/>
      <c r="O33" s="7">
        <f>O24+O27+O30+O31</f>
        <v>524558</v>
      </c>
      <c r="P33" s="9"/>
      <c r="Q33" s="7">
        <f>Q24+Q27+Q30+Q31</f>
        <v>528364</v>
      </c>
      <c r="R33" s="17"/>
      <c r="S33" s="7">
        <v>486426</v>
      </c>
      <c r="T33" s="17"/>
    </row>
    <row r="34" spans="1:20">
      <c r="B34" s="2"/>
      <c r="C34" s="2"/>
      <c r="E34" s="2"/>
      <c r="H34" s="2"/>
      <c r="I34" s="2"/>
      <c r="K34" s="2"/>
      <c r="M34" s="2"/>
      <c r="O34" s="2"/>
      <c r="Q34" s="2"/>
      <c r="R34" s="2"/>
      <c r="S34" s="2"/>
      <c r="T34" s="2"/>
    </row>
    <row r="35" spans="1:20" ht="12.75">
      <c r="A35" s="26" t="s">
        <v>35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13.5">
      <c r="A36" s="1" t="s">
        <v>34</v>
      </c>
      <c r="B36" s="24">
        <v>16.100000000000001</v>
      </c>
      <c r="C36" s="18">
        <v>22.9</v>
      </c>
      <c r="D36" s="12"/>
      <c r="E36" s="11">
        <v>20.5</v>
      </c>
      <c r="F36" s="12"/>
      <c r="G36" s="11">
        <v>19.899999999999999</v>
      </c>
      <c r="H36" s="11"/>
      <c r="I36" s="11">
        <v>18.2</v>
      </c>
      <c r="K36" s="11">
        <v>13.6</v>
      </c>
      <c r="M36" s="11">
        <v>14</v>
      </c>
      <c r="O36" s="11">
        <v>12.8</v>
      </c>
      <c r="Q36" s="11">
        <v>15.5</v>
      </c>
      <c r="R36" s="11"/>
      <c r="S36" s="18">
        <v>-3.7586496120780035</v>
      </c>
      <c r="T36" s="11"/>
    </row>
    <row r="37" spans="1:20" ht="13.5">
      <c r="A37" s="1" t="s">
        <v>33</v>
      </c>
      <c r="B37" s="24">
        <v>18.100000000000001</v>
      </c>
      <c r="C37" s="18">
        <v>20.5</v>
      </c>
      <c r="D37" s="12"/>
      <c r="E37" s="11">
        <v>20.2</v>
      </c>
      <c r="F37" s="12"/>
      <c r="G37" s="11">
        <v>19.8</v>
      </c>
      <c r="H37" s="11"/>
      <c r="I37" s="11">
        <v>18.399999999999999</v>
      </c>
      <c r="J37" s="12"/>
      <c r="K37" s="11">
        <v>15.2</v>
      </c>
      <c r="M37" s="11">
        <v>17.2</v>
      </c>
      <c r="O37" s="11">
        <v>17</v>
      </c>
      <c r="Q37" s="11">
        <v>16.5</v>
      </c>
      <c r="R37" s="11"/>
      <c r="S37" s="18">
        <v>16.250786328370729</v>
      </c>
      <c r="T37" s="11"/>
    </row>
    <row r="38" spans="1:20" ht="13.5">
      <c r="A38" s="1" t="s">
        <v>32</v>
      </c>
      <c r="B38" s="24">
        <v>13.1</v>
      </c>
      <c r="C38" s="18">
        <v>21.1</v>
      </c>
      <c r="D38" s="12"/>
      <c r="E38" s="11">
        <v>18.8</v>
      </c>
      <c r="F38" s="12"/>
      <c r="G38" s="11">
        <v>16.7</v>
      </c>
      <c r="H38" s="11"/>
      <c r="I38" s="11">
        <v>14.3</v>
      </c>
      <c r="K38" s="11">
        <v>8.6</v>
      </c>
      <c r="M38" s="11">
        <v>10</v>
      </c>
      <c r="O38" s="11">
        <v>7.9</v>
      </c>
      <c r="Q38" s="11">
        <v>10.8</v>
      </c>
      <c r="R38" s="11"/>
      <c r="S38" s="18">
        <v>-8.8598821089909361</v>
      </c>
      <c r="T38" s="11"/>
    </row>
    <row r="39" spans="1:20" ht="13.5">
      <c r="A39" s="1" t="s">
        <v>31</v>
      </c>
      <c r="B39" s="24">
        <v>15.1</v>
      </c>
      <c r="C39" s="18">
        <v>18.7</v>
      </c>
      <c r="D39" s="12"/>
      <c r="E39" s="11">
        <v>18.5</v>
      </c>
      <c r="F39" s="12"/>
      <c r="G39" s="11">
        <v>16.600000000000001</v>
      </c>
      <c r="H39" s="11"/>
      <c r="I39" s="11">
        <v>14.5</v>
      </c>
      <c r="J39" s="12"/>
      <c r="K39" s="11">
        <v>10.199999999999999</v>
      </c>
      <c r="M39" s="11">
        <v>13.3</v>
      </c>
      <c r="O39" s="11">
        <v>12.9</v>
      </c>
      <c r="Q39" s="11">
        <v>12.4</v>
      </c>
      <c r="R39" s="11"/>
      <c r="S39" s="18">
        <v>11.422730132103167</v>
      </c>
      <c r="T39" s="11"/>
    </row>
    <row r="40" spans="1:20">
      <c r="A40" s="1" t="s">
        <v>30</v>
      </c>
      <c r="B40" s="24">
        <v>12.2</v>
      </c>
      <c r="C40" s="18">
        <v>23.2</v>
      </c>
      <c r="E40" s="11">
        <v>19.100000000000001</v>
      </c>
      <c r="G40" s="11">
        <v>17.600000000000001</v>
      </c>
      <c r="H40" s="11"/>
      <c r="I40" s="11">
        <v>13.6</v>
      </c>
      <c r="K40" s="11">
        <v>9.5</v>
      </c>
      <c r="M40" s="11">
        <v>10</v>
      </c>
      <c r="O40" s="11">
        <v>8.6</v>
      </c>
      <c r="Q40" s="11">
        <v>12.3</v>
      </c>
      <c r="R40" s="11"/>
      <c r="S40" s="11">
        <v>-11.389572891016588</v>
      </c>
      <c r="T40" s="11"/>
    </row>
    <row r="41" spans="1:20" s="25" customFormat="1">
      <c r="A41" s="1" t="s">
        <v>29</v>
      </c>
      <c r="B41" s="14" t="s">
        <v>8</v>
      </c>
      <c r="C41" s="14" t="s">
        <v>8</v>
      </c>
      <c r="D41" s="1"/>
      <c r="E41" s="14" t="s">
        <v>8</v>
      </c>
      <c r="F41" s="1"/>
      <c r="G41" s="14" t="s">
        <v>8</v>
      </c>
      <c r="H41" s="11"/>
      <c r="I41" s="14" t="s">
        <v>8</v>
      </c>
      <c r="J41" s="1"/>
      <c r="K41" s="14" t="s">
        <v>8</v>
      </c>
      <c r="L41" s="1"/>
      <c r="M41" s="14" t="s">
        <v>8</v>
      </c>
      <c r="N41" s="1"/>
      <c r="O41" s="11">
        <v>7.3</v>
      </c>
      <c r="P41" s="1"/>
      <c r="Q41" s="11">
        <v>8.3000000000000007</v>
      </c>
      <c r="R41" s="11"/>
      <c r="S41" s="11">
        <v>-2.1193579852797728</v>
      </c>
      <c r="T41" s="11"/>
    </row>
    <row r="42" spans="1:20" s="25" customFormat="1" ht="13.5">
      <c r="A42" s="1" t="s">
        <v>28</v>
      </c>
      <c r="B42" s="14" t="s">
        <v>8</v>
      </c>
      <c r="C42" s="14" t="s">
        <v>8</v>
      </c>
      <c r="D42" s="1"/>
      <c r="E42" s="14" t="s">
        <v>8</v>
      </c>
      <c r="F42" s="1"/>
      <c r="G42" s="14" t="s">
        <v>8</v>
      </c>
      <c r="H42" s="11"/>
      <c r="I42" s="14" t="s">
        <v>8</v>
      </c>
      <c r="J42" s="1"/>
      <c r="K42" s="14" t="s">
        <v>8</v>
      </c>
      <c r="L42" s="1"/>
      <c r="M42" s="14" t="s">
        <v>8</v>
      </c>
      <c r="N42" s="1"/>
      <c r="O42" s="11">
        <v>9.6999999999999993</v>
      </c>
      <c r="P42" s="1"/>
      <c r="Q42" s="11">
        <v>8.8000000000000007</v>
      </c>
      <c r="R42" s="11"/>
      <c r="S42" s="11">
        <v>9.1631935207354207</v>
      </c>
      <c r="T42" s="11"/>
    </row>
    <row r="43" spans="1:20" ht="13.5">
      <c r="A43" s="1" t="s">
        <v>27</v>
      </c>
      <c r="B43" s="24">
        <v>4.4000000000000004</v>
      </c>
      <c r="C43" s="18">
        <v>7.6</v>
      </c>
      <c r="D43" s="12"/>
      <c r="E43" s="11">
        <v>7.2</v>
      </c>
      <c r="F43" s="12"/>
      <c r="G43" s="11">
        <v>6.7</v>
      </c>
      <c r="H43" s="11"/>
      <c r="I43" s="11">
        <v>4.5</v>
      </c>
      <c r="K43" s="11">
        <v>3.1</v>
      </c>
      <c r="M43" s="11">
        <v>4.0999999999999996</v>
      </c>
      <c r="O43" s="11">
        <v>2.6</v>
      </c>
      <c r="Q43" s="11">
        <v>3.7</v>
      </c>
      <c r="R43" s="11"/>
      <c r="S43" s="11">
        <v>-0.79468325791855199</v>
      </c>
      <c r="T43" s="11"/>
    </row>
    <row r="44" spans="1:20" ht="13.5">
      <c r="A44" s="1" t="s">
        <v>26</v>
      </c>
      <c r="B44" s="24">
        <v>5</v>
      </c>
      <c r="C44" s="18">
        <v>6.9</v>
      </c>
      <c r="D44" s="12"/>
      <c r="E44" s="11">
        <v>7.1</v>
      </c>
      <c r="F44" s="12"/>
      <c r="G44" s="11">
        <v>6.7</v>
      </c>
      <c r="H44" s="11"/>
      <c r="I44" s="11">
        <v>4.5999999999999996</v>
      </c>
      <c r="J44" s="12"/>
      <c r="K44" s="11">
        <v>3.4</v>
      </c>
      <c r="M44" s="11">
        <v>5</v>
      </c>
      <c r="O44" s="11">
        <v>3.3</v>
      </c>
      <c r="Q44" s="11">
        <v>3.9</v>
      </c>
      <c r="R44" s="11"/>
      <c r="S44" s="11">
        <v>4.0629242081447963</v>
      </c>
      <c r="T44" s="11"/>
    </row>
    <row r="45" spans="1:20" ht="13.5">
      <c r="A45" s="1" t="s">
        <v>25</v>
      </c>
      <c r="B45" s="24">
        <v>6.6</v>
      </c>
      <c r="C45" s="18">
        <v>8.9</v>
      </c>
      <c r="D45" s="12"/>
      <c r="E45" s="11">
        <v>9.6999999999999993</v>
      </c>
      <c r="F45" s="12"/>
      <c r="G45" s="11">
        <v>8.6</v>
      </c>
      <c r="H45" s="11"/>
      <c r="I45" s="11">
        <v>5.4</v>
      </c>
      <c r="K45" s="11">
        <v>4.8</v>
      </c>
      <c r="M45" s="11">
        <v>6.2</v>
      </c>
      <c r="O45" s="11">
        <v>4.9000000000000004</v>
      </c>
      <c r="Q45" s="11">
        <v>5.7</v>
      </c>
      <c r="R45" s="11"/>
      <c r="S45" s="11">
        <v>5.5090497737556561</v>
      </c>
      <c r="T45" s="11"/>
    </row>
    <row r="46" spans="1:20" ht="13.5">
      <c r="A46" s="1" t="s">
        <v>24</v>
      </c>
      <c r="B46" s="24">
        <v>8.9</v>
      </c>
      <c r="C46" s="18">
        <v>15.1</v>
      </c>
      <c r="D46" s="12"/>
      <c r="E46" s="11">
        <v>15.9</v>
      </c>
      <c r="F46" s="12"/>
      <c r="G46" s="11">
        <v>12.2</v>
      </c>
      <c r="H46" s="11"/>
      <c r="I46" s="11">
        <v>7.1</v>
      </c>
      <c r="K46" s="11">
        <v>5.6</v>
      </c>
      <c r="M46" s="11">
        <v>7.5</v>
      </c>
      <c r="O46" s="11">
        <v>5.8</v>
      </c>
      <c r="Q46" s="11">
        <v>6.6</v>
      </c>
      <c r="R46" s="11"/>
      <c r="S46" s="11">
        <v>6.1110754928674469</v>
      </c>
      <c r="T46" s="11"/>
    </row>
    <row r="47" spans="1:20">
      <c r="A47" s="1" t="s">
        <v>23</v>
      </c>
      <c r="B47" s="24">
        <v>5.5</v>
      </c>
      <c r="C47" s="18">
        <v>5.5</v>
      </c>
      <c r="E47" s="11">
        <v>7.9</v>
      </c>
      <c r="G47" s="11">
        <v>6.4</v>
      </c>
      <c r="H47" s="11"/>
      <c r="I47" s="11">
        <v>4.0999999999999996</v>
      </c>
      <c r="K47" s="11">
        <v>4.3</v>
      </c>
      <c r="M47" s="11">
        <v>4.5999999999999996</v>
      </c>
      <c r="O47" s="11">
        <v>3</v>
      </c>
      <c r="Q47" s="11">
        <v>3</v>
      </c>
      <c r="R47" s="11"/>
      <c r="S47" s="11">
        <v>4.993730938664859</v>
      </c>
      <c r="T47" s="11"/>
    </row>
    <row r="48" spans="1:20">
      <c r="A48" s="1" t="s">
        <v>22</v>
      </c>
      <c r="B48" s="24">
        <v>30</v>
      </c>
      <c r="C48" s="18">
        <v>39.9</v>
      </c>
      <c r="E48" s="11">
        <v>49.8</v>
      </c>
      <c r="G48" s="11">
        <v>50.7</v>
      </c>
      <c r="H48" s="11"/>
      <c r="I48" s="11">
        <v>28.6</v>
      </c>
      <c r="K48" s="11">
        <v>17.2</v>
      </c>
      <c r="M48" s="11">
        <v>21.3</v>
      </c>
      <c r="O48" s="11">
        <v>22.5</v>
      </c>
      <c r="Q48" s="11">
        <v>21.5</v>
      </c>
      <c r="R48" s="11"/>
      <c r="S48" s="11">
        <v>23.744741055139805</v>
      </c>
      <c r="T48" s="11"/>
    </row>
    <row r="49" spans="1:20">
      <c r="A49" s="1" t="s">
        <v>21</v>
      </c>
      <c r="B49" s="24">
        <v>43.9</v>
      </c>
      <c r="C49" s="18">
        <v>48.8</v>
      </c>
      <c r="E49" s="11">
        <v>72.2</v>
      </c>
      <c r="G49" s="11">
        <v>77.8</v>
      </c>
      <c r="H49" s="11"/>
      <c r="I49" s="11">
        <v>46.6</v>
      </c>
      <c r="K49" s="11">
        <v>23.7</v>
      </c>
      <c r="M49" s="11">
        <v>27.8</v>
      </c>
      <c r="O49" s="11">
        <v>27.1</v>
      </c>
      <c r="Q49" s="11">
        <v>30.8</v>
      </c>
      <c r="R49" s="11"/>
      <c r="S49" s="11">
        <v>29.826399281652201</v>
      </c>
      <c r="T49" s="11"/>
    </row>
    <row r="50" spans="1:20">
      <c r="A50" s="1" t="s">
        <v>20</v>
      </c>
      <c r="B50" s="14" t="s">
        <v>8</v>
      </c>
      <c r="C50" s="14" t="s">
        <v>8</v>
      </c>
      <c r="E50" s="14" t="s">
        <v>8</v>
      </c>
      <c r="G50" s="14" t="s">
        <v>8</v>
      </c>
      <c r="H50" s="11"/>
      <c r="I50" s="14" t="s">
        <v>8</v>
      </c>
      <c r="K50" s="11">
        <v>17.899999999999999</v>
      </c>
      <c r="M50" s="11">
        <v>23.1</v>
      </c>
      <c r="O50" s="11">
        <v>21.7</v>
      </c>
      <c r="Q50" s="11">
        <v>22.3</v>
      </c>
      <c r="R50" s="11"/>
      <c r="S50" s="11">
        <v>19.611677952237741</v>
      </c>
      <c r="T50" s="11"/>
    </row>
    <row r="51" spans="1:20" ht="13.5">
      <c r="A51" s="1" t="s">
        <v>19</v>
      </c>
      <c r="B51" s="24">
        <v>10.8</v>
      </c>
      <c r="C51" s="18">
        <v>19.3</v>
      </c>
      <c r="D51" s="12"/>
      <c r="E51" s="11">
        <v>18.399999999999999</v>
      </c>
      <c r="F51" s="12"/>
      <c r="G51" s="11">
        <v>15.1</v>
      </c>
      <c r="H51" s="11"/>
      <c r="I51" s="11">
        <v>9.1</v>
      </c>
      <c r="K51" s="11">
        <v>6.5</v>
      </c>
      <c r="M51" s="11">
        <v>9.8000000000000007</v>
      </c>
      <c r="O51" s="11">
        <v>6.9</v>
      </c>
      <c r="Q51" s="11">
        <v>8.8000000000000007</v>
      </c>
      <c r="R51" s="11"/>
      <c r="S51" s="18">
        <v>6.9</v>
      </c>
      <c r="T51" s="11"/>
    </row>
    <row r="52" spans="1:20" s="9" customFormat="1" ht="13.5">
      <c r="A52" s="9" t="s">
        <v>18</v>
      </c>
      <c r="B52" s="19">
        <v>11.5</v>
      </c>
      <c r="C52" s="23">
        <v>18</v>
      </c>
      <c r="D52" s="12"/>
      <c r="E52" s="22">
        <v>18.2</v>
      </c>
      <c r="F52" s="12"/>
      <c r="G52" s="22">
        <v>15</v>
      </c>
      <c r="H52" s="22"/>
      <c r="I52" s="22">
        <v>9.1999999999999993</v>
      </c>
      <c r="J52" s="12"/>
      <c r="K52" s="22">
        <v>6.9</v>
      </c>
      <c r="M52" s="22">
        <v>11</v>
      </c>
      <c r="O52" s="22">
        <v>7.9</v>
      </c>
      <c r="Q52" s="22">
        <v>9</v>
      </c>
      <c r="R52" s="22"/>
      <c r="S52" s="23">
        <v>12.4</v>
      </c>
      <c r="T52" s="22"/>
    </row>
    <row r="53" spans="1:20">
      <c r="A53" s="1" t="s">
        <v>17</v>
      </c>
      <c r="B53" s="24">
        <v>30</v>
      </c>
      <c r="C53" s="18">
        <v>28</v>
      </c>
      <c r="E53" s="11">
        <v>33.299999999999997</v>
      </c>
      <c r="G53" s="11">
        <v>36.700000000000003</v>
      </c>
      <c r="H53" s="11"/>
      <c r="I53" s="11">
        <v>31.6</v>
      </c>
      <c r="K53" s="11">
        <v>23.7</v>
      </c>
      <c r="M53" s="11">
        <v>24.7</v>
      </c>
      <c r="O53" s="11">
        <v>26.5</v>
      </c>
      <c r="Q53" s="11">
        <v>28.3</v>
      </c>
      <c r="R53" s="11"/>
      <c r="S53" s="18">
        <v>26.873152339718683</v>
      </c>
      <c r="T53" s="11"/>
    </row>
    <row r="54" spans="1:20">
      <c r="A54" s="1" t="s">
        <v>16</v>
      </c>
      <c r="B54" s="24">
        <v>85.3</v>
      </c>
      <c r="C54" s="18">
        <v>86.5</v>
      </c>
      <c r="D54" s="18"/>
      <c r="E54" s="18">
        <v>66.5</v>
      </c>
      <c r="F54" s="18"/>
      <c r="G54" s="18">
        <v>54.1</v>
      </c>
      <c r="H54" s="18"/>
      <c r="I54" s="18">
        <v>76.2</v>
      </c>
      <c r="J54" s="18"/>
      <c r="K54" s="18">
        <v>149.9</v>
      </c>
      <c r="L54" s="18"/>
      <c r="M54" s="18">
        <v>140.9</v>
      </c>
      <c r="N54" s="18"/>
      <c r="O54" s="18">
        <v>122.6</v>
      </c>
      <c r="P54" s="18"/>
      <c r="Q54" s="18">
        <v>107.3</v>
      </c>
      <c r="R54" s="18"/>
      <c r="S54" s="18">
        <v>102.73642497590232</v>
      </c>
      <c r="T54" s="18"/>
    </row>
    <row r="55" spans="1:20">
      <c r="A55" s="1" t="s">
        <v>15</v>
      </c>
      <c r="B55" s="24">
        <v>64.8</v>
      </c>
      <c r="C55" s="18">
        <v>70.8</v>
      </c>
      <c r="D55" s="18"/>
      <c r="E55" s="18">
        <v>45.9</v>
      </c>
      <c r="G55" s="11">
        <v>35.200000000000003</v>
      </c>
      <c r="H55" s="11"/>
      <c r="I55" s="11">
        <v>46.8</v>
      </c>
      <c r="K55" s="11">
        <v>108.8</v>
      </c>
      <c r="M55" s="11">
        <v>107.8</v>
      </c>
      <c r="O55" s="11">
        <v>101.6</v>
      </c>
      <c r="Q55" s="11">
        <v>74.900000000000006</v>
      </c>
      <c r="R55" s="11"/>
      <c r="S55" s="18">
        <v>81.788277054422494</v>
      </c>
      <c r="T55" s="11"/>
    </row>
    <row r="56" spans="1:20">
      <c r="A56" s="9" t="s">
        <v>14</v>
      </c>
      <c r="B56" s="19">
        <v>46</v>
      </c>
      <c r="C56" s="23">
        <v>46.4</v>
      </c>
      <c r="D56" s="9"/>
      <c r="E56" s="22">
        <v>39.9</v>
      </c>
      <c r="F56" s="9"/>
      <c r="G56" s="22">
        <v>35.1</v>
      </c>
      <c r="H56" s="22"/>
      <c r="I56" s="22">
        <v>43.2</v>
      </c>
      <c r="J56" s="9"/>
      <c r="K56" s="22">
        <v>60</v>
      </c>
      <c r="L56" s="9"/>
      <c r="M56" s="22">
        <v>58.5</v>
      </c>
      <c r="N56" s="9"/>
      <c r="O56" s="22">
        <v>55.1</v>
      </c>
      <c r="P56" s="9"/>
      <c r="Q56" s="22">
        <v>51.8</v>
      </c>
      <c r="R56" s="22"/>
      <c r="S56" s="23">
        <v>50.674872553421913</v>
      </c>
      <c r="T56" s="22"/>
    </row>
    <row r="57" spans="1:20">
      <c r="A57" s="9" t="s">
        <v>13</v>
      </c>
      <c r="B57" s="19">
        <v>39.299999999999997</v>
      </c>
      <c r="C57" s="23">
        <v>41.4</v>
      </c>
      <c r="D57" s="9"/>
      <c r="E57" s="22">
        <v>31.5</v>
      </c>
      <c r="F57" s="9"/>
      <c r="G57" s="22">
        <v>26.1</v>
      </c>
      <c r="H57" s="22"/>
      <c r="I57" s="22">
        <v>31.9</v>
      </c>
      <c r="J57" s="9"/>
      <c r="K57" s="22">
        <v>52.1</v>
      </c>
      <c r="L57" s="9"/>
      <c r="M57" s="22">
        <v>51.9</v>
      </c>
      <c r="N57" s="9"/>
      <c r="O57" s="22">
        <v>50.4</v>
      </c>
      <c r="P57" s="9"/>
      <c r="Q57" s="22">
        <v>42.8</v>
      </c>
      <c r="R57" s="22"/>
      <c r="S57" s="23">
        <v>44.990952320834907</v>
      </c>
      <c r="T57" s="22"/>
    </row>
    <row r="58" spans="1:20">
      <c r="A58" s="9" t="s">
        <v>12</v>
      </c>
      <c r="B58" s="19">
        <v>1.7</v>
      </c>
      <c r="C58" s="19">
        <f>C28/C7</f>
        <v>1.4902837290098436</v>
      </c>
      <c r="D58" s="9"/>
      <c r="E58" s="19">
        <f>E28/E7</f>
        <v>1.1244708452819883</v>
      </c>
      <c r="F58" s="9"/>
      <c r="G58" s="19">
        <f>G28/G7</f>
        <v>0.95458414264202007</v>
      </c>
      <c r="H58" s="19"/>
      <c r="I58" s="19">
        <f>I28/I7</f>
        <v>1.4360313315926894</v>
      </c>
      <c r="J58" s="9"/>
      <c r="K58" s="19">
        <v>3</v>
      </c>
      <c r="L58" s="9"/>
      <c r="M58" s="19">
        <v>2.4</v>
      </c>
      <c r="N58" s="9"/>
      <c r="O58" s="19">
        <v>2.6</v>
      </c>
      <c r="P58" s="9"/>
      <c r="Q58" s="19">
        <v>2.1</v>
      </c>
      <c r="R58" s="19"/>
      <c r="S58" s="19">
        <v>2.4954950749264739</v>
      </c>
      <c r="T58" s="19"/>
    </row>
    <row r="59" spans="1:20">
      <c r="A59" s="10" t="s">
        <v>11</v>
      </c>
      <c r="B59" s="8" t="s">
        <v>8</v>
      </c>
      <c r="C59" s="8" t="s">
        <v>8</v>
      </c>
      <c r="D59" s="10"/>
      <c r="E59" s="8" t="s">
        <v>8</v>
      </c>
      <c r="F59" s="10"/>
      <c r="G59" s="8" t="s">
        <v>8</v>
      </c>
      <c r="H59" s="21"/>
      <c r="I59" s="8" t="s">
        <v>8</v>
      </c>
      <c r="J59" s="10"/>
      <c r="K59" s="20">
        <v>4</v>
      </c>
      <c r="L59" s="10"/>
      <c r="M59" s="20">
        <v>2.9</v>
      </c>
      <c r="N59" s="10"/>
      <c r="O59" s="20">
        <v>3.2</v>
      </c>
      <c r="P59" s="10"/>
      <c r="Q59" s="20">
        <v>2.8</v>
      </c>
      <c r="R59" s="20"/>
      <c r="S59" s="20">
        <v>3.7952709957518325</v>
      </c>
      <c r="T59" s="19"/>
    </row>
    <row r="60" spans="1:20">
      <c r="C60" s="18"/>
      <c r="E60" s="2"/>
      <c r="H60" s="2"/>
      <c r="I60" s="2"/>
      <c r="K60" s="2"/>
      <c r="M60" s="2"/>
      <c r="O60" s="2"/>
      <c r="Q60" s="2"/>
      <c r="R60" s="2"/>
      <c r="S60" s="2"/>
      <c r="T60" s="17"/>
    </row>
    <row r="61" spans="1:20">
      <c r="A61" s="16" t="s">
        <v>10</v>
      </c>
      <c r="B61" s="16"/>
      <c r="D61" s="16"/>
      <c r="E61" s="15"/>
      <c r="F61" s="16"/>
      <c r="G61" s="15"/>
      <c r="H61" s="15"/>
      <c r="I61" s="15"/>
      <c r="J61" s="16"/>
      <c r="K61" s="15"/>
      <c r="L61" s="16"/>
      <c r="M61" s="15"/>
      <c r="N61" s="16"/>
      <c r="O61" s="15"/>
      <c r="P61" s="16"/>
      <c r="Q61" s="15"/>
      <c r="R61" s="15"/>
      <c r="S61" s="15"/>
      <c r="T61" s="15"/>
    </row>
    <row r="62" spans="1:20" ht="13.5">
      <c r="A62" s="1" t="s">
        <v>9</v>
      </c>
      <c r="B62" s="2">
        <v>5600</v>
      </c>
      <c r="C62" s="14">
        <v>5800</v>
      </c>
      <c r="E62" s="2">
        <v>7500</v>
      </c>
      <c r="G62" s="2">
        <v>8000</v>
      </c>
      <c r="H62" s="2"/>
      <c r="I62" s="2">
        <v>6900</v>
      </c>
      <c r="J62" s="12"/>
      <c r="K62" s="2">
        <v>5240</v>
      </c>
      <c r="L62" s="12"/>
      <c r="M62" s="2">
        <v>6500</v>
      </c>
      <c r="O62" s="2">
        <v>4433</v>
      </c>
      <c r="P62" s="12">
        <v>2</v>
      </c>
      <c r="Q62" s="2">
        <v>6774</v>
      </c>
      <c r="R62" s="12"/>
      <c r="S62" s="14" t="s">
        <v>8</v>
      </c>
      <c r="T62" s="12">
        <v>4</v>
      </c>
    </row>
    <row r="63" spans="1:20">
      <c r="A63" s="1" t="s">
        <v>7</v>
      </c>
      <c r="B63" s="2">
        <v>12731</v>
      </c>
      <c r="C63" s="2">
        <v>24497</v>
      </c>
      <c r="E63" s="2">
        <f>16534+686</f>
        <v>17220</v>
      </c>
      <c r="G63" s="2">
        <f>18974-10</f>
        <v>18964</v>
      </c>
      <c r="H63" s="2"/>
      <c r="I63" s="2">
        <v>42296</v>
      </c>
      <c r="K63" s="2">
        <v>102989</v>
      </c>
      <c r="M63" s="2">
        <v>41794</v>
      </c>
      <c r="O63" s="2">
        <v>35750</v>
      </c>
      <c r="Q63" s="2">
        <v>29581</v>
      </c>
      <c r="R63" s="2"/>
      <c r="S63" s="2">
        <v>27761</v>
      </c>
      <c r="T63" s="2"/>
    </row>
    <row r="64" spans="1:20" ht="13.5">
      <c r="A64" s="1" t="s">
        <v>6</v>
      </c>
      <c r="B64" s="13">
        <v>167.1</v>
      </c>
      <c r="C64" s="1">
        <v>169.1</v>
      </c>
      <c r="D64" s="12"/>
      <c r="E64" s="11">
        <v>165.4</v>
      </c>
      <c r="F64" s="12"/>
      <c r="G64" s="11">
        <v>167.6</v>
      </c>
      <c r="H64" s="11"/>
      <c r="I64" s="11">
        <v>162.1</v>
      </c>
      <c r="K64" s="11">
        <v>158.9</v>
      </c>
      <c r="M64" s="11">
        <v>172.4</v>
      </c>
      <c r="O64" s="11">
        <v>166.7</v>
      </c>
      <c r="Q64" s="11">
        <v>178.9</v>
      </c>
      <c r="R64" s="11"/>
      <c r="S64" s="11">
        <v>181.7</v>
      </c>
      <c r="T64" s="11"/>
    </row>
    <row r="65" spans="1:20">
      <c r="A65" s="10" t="s">
        <v>5</v>
      </c>
      <c r="B65" s="7">
        <v>33017</v>
      </c>
      <c r="C65" s="7">
        <v>32231</v>
      </c>
      <c r="D65" s="10"/>
      <c r="E65" s="7">
        <v>32308</v>
      </c>
      <c r="F65" s="10"/>
      <c r="G65" s="7">
        <v>32396</v>
      </c>
      <c r="H65" s="7"/>
      <c r="I65" s="7">
        <v>32801</v>
      </c>
      <c r="J65" s="10"/>
      <c r="K65" s="8">
        <v>36593</v>
      </c>
      <c r="L65" s="10"/>
      <c r="M65" s="8">
        <v>38459</v>
      </c>
      <c r="N65" s="10"/>
      <c r="O65" s="8">
        <v>37679</v>
      </c>
      <c r="P65" s="9"/>
      <c r="Q65" s="8">
        <v>33059</v>
      </c>
      <c r="R65" s="6"/>
      <c r="S65" s="7">
        <v>31819</v>
      </c>
      <c r="T65" s="6"/>
    </row>
    <row r="67" spans="1:20">
      <c r="A67" s="3" t="s">
        <v>4</v>
      </c>
    </row>
    <row r="68" spans="1:20">
      <c r="A68" s="3" t="s">
        <v>3</v>
      </c>
    </row>
    <row r="69" spans="1:20" ht="13.5">
      <c r="A69" s="3" t="s">
        <v>2</v>
      </c>
      <c r="D69" s="4"/>
      <c r="F69" s="4"/>
      <c r="G69" s="5"/>
      <c r="H69" s="4"/>
      <c r="L69" s="4"/>
      <c r="N69" s="4"/>
      <c r="P69" s="4"/>
      <c r="R69" s="4"/>
      <c r="T69" s="4"/>
    </row>
    <row r="70" spans="1:20" ht="13.5">
      <c r="A70" s="3" t="s">
        <v>1</v>
      </c>
      <c r="D70" s="4"/>
      <c r="F70" s="4"/>
      <c r="G70" s="5"/>
      <c r="H70" s="4"/>
      <c r="L70" s="4"/>
      <c r="N70" s="4"/>
      <c r="P70" s="4"/>
      <c r="R70" s="4"/>
      <c r="T70" s="4"/>
    </row>
    <row r="71" spans="1:20">
      <c r="A71" s="3" t="s">
        <v>0</v>
      </c>
    </row>
    <row r="74" spans="1:20">
      <c r="A74" s="3"/>
    </row>
    <row r="75" spans="1:20">
      <c r="A75" s="3"/>
    </row>
    <row r="76" spans="1:20">
      <c r="A76" s="3"/>
    </row>
    <row r="77" spans="1:20">
      <c r="A77" s="3"/>
    </row>
    <row r="78" spans="1:20">
      <c r="A78" s="3"/>
    </row>
  </sheetData>
  <mergeCells count="2">
    <mergeCell ref="B2:O2"/>
    <mergeCell ref="A1:H1"/>
  </mergeCells>
  <pageMargins left="0.43307086614173229" right="0.31496062992125984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Ten-year overview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Winlund Annika (FE)</dc:creator>
  <cp:lastModifiedBy>Winlund Annika (FE)</cp:lastModifiedBy>
  <dcterms:created xsi:type="dcterms:W3CDTF">2014-03-26T07:27:20Z</dcterms:created>
  <dcterms:modified xsi:type="dcterms:W3CDTF">2014-03-26T07:27:36Z</dcterms:modified>
</cp:coreProperties>
</file>